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<sst xmlns="http://schemas.openxmlformats.org/spreadsheetml/2006/main" count="81" uniqueCount="70">
  <si>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</si>
  <si>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</si>
  <si>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</si>
  <si>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</si>
  <si>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</si>
  <si>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</si>
  <si>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</si>
  <si>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</si>
  <si>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</si>
  <si>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</si>
  <si>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</si>
  <si>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</si>
  <si>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</si>
  <si>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</si>
  <si>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</si>
  <si>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</si>
  <si>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</si>
  <si>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</si>
  <si>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</si>
  <si>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</si>
  <si>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</si>
  <si>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</si>
  <si>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</si>
  <si>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</si>
  <si>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</si>
  <si>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</si>
  <si>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</si>
  <si>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</si>
  <si>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</si>
  <si>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</si>
  <si>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</si>
  <si>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</si>
  <si>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</si>
  <si>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</si>
  <si>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</si>
  <si>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</si>
  <si>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</si>
  <si>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</si>
  <si>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</si>
  <si>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</si>
  <si>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</si>
  <si>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</si>
  <si>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</si>
  <si>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</si>
  <si>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</si>
  <si>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</si>
  <si>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</si>
  <si>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</si>
  <si>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</si>
  <si>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</si>
  <si>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</si>
  <si>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</si>
  <si>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</si>
  <si>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</si>
  <si>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</si>
  <si>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</si>
  <si>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</si>
  <si>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</si>
  <si>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</si>
  <si>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</si>
  <si>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</si>
  <si>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</si>
  <si>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</si>
  <si>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</si>
  <si>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</si>
  <si>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</si>
  <si>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</si>
  <si>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SETIEMBRE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</si>
  <si>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setiembre 2019 fue de 149,391 Bpd; superior en 6,768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</si>
  <si>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setiembre 2019 fue de 1,556 MMPCD; superior en 47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</si>
</sst>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6.55"/>
      <color indexed="8"/>
      <name val="Calibri"/>
      <family val="2"/>
    </font>
    <font>
      <b/>
      <sz val="10"/>
      <color indexed="8"/>
      <name val="Calibri"/>
      <family val="2"/>
    </font>
    <font>
      <sz val="6.55"/>
      <color indexed="60"/>
      <name val="Calibri"/>
      <family val="2"/>
    </font>
    <font>
      <sz val="6.55"/>
      <color indexed="56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left" wrapText="1"/>
    </xf>
    <xf numFmtId="0" fontId="41" fillId="37" borderId="0" xfId="0" applyFont="1" applyFill="1" applyAlignment="1">
      <alignment horizontal="center" vertical="center" wrapText="1"/>
    </xf>
    <xf numFmtId="0" fontId="70" fillId="41" borderId="0" xfId="0" applyFont="1" applyFill="1" applyBorder="1" applyAlignment="1">
      <alignment horizontal="justify" wrapText="1"/>
    </xf>
    <xf numFmtId="49" fontId="71" fillId="37" borderId="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051056"/>
        <c:axId val="60132913"/>
      </c:scatterChart>
      <c:valAx>
        <c:axId val="29051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32913"/>
        <c:crosses val="autoZero"/>
        <c:crossBetween val="midCat"/>
        <c:dispUnits/>
      </c:valAx>
      <c:valAx>
        <c:axId val="6013291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056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325306"/>
        <c:axId val="38927755"/>
      </c:scatterChart>
      <c:valAx>
        <c:axId val="43253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27755"/>
        <c:crosses val="autoZero"/>
        <c:crossBetween val="midCat"/>
        <c:dispUnits/>
      </c:valAx>
      <c:valAx>
        <c:axId val="38927755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5306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7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4"/>
          <c:w val="0.919"/>
          <c:h val="0.714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(no)'!$C$175:$C$316</c:f>
              <c:numCache>
                <c:ptCount val="142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</c:numCache>
            </c:numRef>
          </c:xVal>
          <c:yVal>
            <c:numRef>
              <c:f>'ESTRUCTURA oil (no)'!$AI$175:$AI$316</c:f>
              <c:numCache>
                <c:ptCount val="142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137,830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(no)'!$C$19:$C$316</c:f>
              <c:numCache>
                <c:ptCount val="298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</c:numCache>
            </c:numRef>
          </c:xVal>
          <c:yVal>
            <c:numRef>
              <c:f>'ESTRUCTURA oil (no)'!$AJ$19:$AJ$316</c:f>
              <c:numCache>
                <c:ptCount val="298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137830</c:v>
                </c:pt>
                <c:pt idx="290">
                  <c:v>137830</c:v>
                </c:pt>
                <c:pt idx="291">
                  <c:v>137830</c:v>
                </c:pt>
                <c:pt idx="292">
                  <c:v>137830</c:v>
                </c:pt>
                <c:pt idx="293">
                  <c:v>137830</c:v>
                </c:pt>
                <c:pt idx="294">
                  <c:v>137830</c:v>
                </c:pt>
                <c:pt idx="295">
                  <c:v>137830</c:v>
                </c:pt>
                <c:pt idx="296">
                  <c:v>137830</c:v>
                </c:pt>
                <c:pt idx="297">
                  <c:v>137830</c:v>
                </c:pt>
              </c:numCache>
            </c:numRef>
          </c:yVal>
          <c:smooth val="0"/>
        </c:ser>
        <c:axId val="14805476"/>
        <c:axId val="66140421"/>
      </c:scatterChart>
      <c:valAx>
        <c:axId val="14805476"/>
        <c:scaling>
          <c:orientation val="minMax"/>
          <c:max val="2019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140421"/>
        <c:crosses val="autoZero"/>
        <c:crossBetween val="midCat"/>
        <c:dispUnits/>
        <c:majorUnit val="1"/>
        <c:minorUnit val="0.1"/>
      </c:valAx>
      <c:valAx>
        <c:axId val="66140421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805476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75"/>
          <c:y val="0.942"/>
          <c:w val="0.792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15"/>
          <c:w val="0.9345"/>
          <c:h val="0.755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2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1,556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(no)'!$B$167:$B$313</c:f>
              <c:numCache>
                <c:ptCount val="147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</c:numCache>
            </c:numRef>
          </c:xVal>
          <c:yVal>
            <c:numRef>
              <c:f>'ESTRUCTURA gas (no)'!$N$167:$N$313</c:f>
              <c:numCache>
                <c:ptCount val="147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1,279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(no)'!$B$167:$B$313</c:f>
              <c:numCache>
                <c:ptCount val="147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</c:numCache>
            </c:numRef>
          </c:xVal>
          <c:yVal>
            <c:numRef>
              <c:f>'ESTRUCTURA gas (no)'!$O$167:$O$313</c:f>
              <c:numCache>
                <c:ptCount val="147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1278825.5404</c:v>
                </c:pt>
                <c:pt idx="139">
                  <c:v>1278825.5404</c:v>
                </c:pt>
                <c:pt idx="140">
                  <c:v>1278825.5404</c:v>
                </c:pt>
                <c:pt idx="141">
                  <c:v>1278825.5404</c:v>
                </c:pt>
                <c:pt idx="142">
                  <c:v>1278825.5404</c:v>
                </c:pt>
                <c:pt idx="143">
                  <c:v>1278825.5404</c:v>
                </c:pt>
                <c:pt idx="144">
                  <c:v>1278825.5404</c:v>
                </c:pt>
                <c:pt idx="145">
                  <c:v>1278825.5404</c:v>
                </c:pt>
                <c:pt idx="146">
                  <c:v>1278825.5404</c:v>
                </c:pt>
              </c:numCache>
            </c:numRef>
          </c:yVal>
          <c:smooth val="0"/>
        </c:ser>
        <c:axId val="58392878"/>
        <c:axId val="55773855"/>
      </c:scatterChart>
      <c:valAx>
        <c:axId val="58392878"/>
        <c:scaling>
          <c:orientation val="minMax"/>
          <c:max val="2019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773855"/>
        <c:crosses val="autoZero"/>
        <c:crossBetween val="midCat"/>
        <c:dispUnits/>
        <c:majorUnit val="1"/>
        <c:minorUnit val="0.1"/>
      </c:valAx>
      <c:valAx>
        <c:axId val="55773855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392878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0.557</cdr:y>
    </cdr:from>
    <cdr:to>
      <cdr:x>0.5095</cdr:x>
      <cdr:y>0.58475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3837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0.55175</cdr:y>
    </cdr:from>
    <cdr:to>
      <cdr:x>0.924</cdr:x>
      <cdr:y>0.55175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9850" y="22193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0.91825</cdr:x>
      <cdr:y>0.4585</cdr:y>
    </cdr:from>
    <cdr:to>
      <cdr:x>1</cdr:x>
      <cdr:y>0.50625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391275" y="18383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149,391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0.52575</cdr:y>
    </cdr:from>
    <cdr:to>
      <cdr:x>0.45475</cdr:x>
      <cdr:y>0.571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9335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209550</xdr:colOff>
      <xdr:row>30</xdr:row>
      <xdr:rowOff>104775</xdr:rowOff>
    </xdr:to>
    <xdr:graphicFrame>
      <xdr:nvGraphicFramePr>
        <xdr:cNvPr id="1" name="Chart 1026"/>
        <xdr:cNvGraphicFramePr/>
      </xdr:nvGraphicFramePr>
      <xdr:xfrm>
        <a:off x="619125" y="106680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6610350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6"/>
  <sheetViews>
    <sheetView zoomScalePageLayoutView="0" workbookViewId="0" topLeftCell="A5">
      <pane xSplit="4" ySplit="3" topLeftCell="AG295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O315" sqref="AO315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1">
        <v>3869</v>
      </c>
      <c r="K85" s="281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1">
        <v>4034</v>
      </c>
      <c r="K86" s="281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1">
        <v>4285</v>
      </c>
      <c r="K87" s="281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1">
        <v>4266</v>
      </c>
      <c r="K88" s="281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1">
        <v>4352</v>
      </c>
      <c r="K89" s="281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6">
        <v>4271.266666666666</v>
      </c>
      <c r="K90" s="28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1">
        <v>4265.225806451613</v>
      </c>
      <c r="K91" s="281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1">
        <v>4113.322580645161</v>
      </c>
      <c r="K92" s="281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1">
        <v>4045.214285714286</v>
      </c>
      <c r="K93" s="281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1">
        <v>3904.064516129032</v>
      </c>
      <c r="K94" s="281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1">
        <v>4358.2</v>
      </c>
      <c r="K95" s="281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1">
        <v>4537.387096774193</v>
      </c>
      <c r="K96" s="281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1">
        <v>4451</v>
      </c>
      <c r="K97" s="281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1">
        <v>4561</v>
      </c>
      <c r="K98" s="281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1">
        <v>4385</v>
      </c>
      <c r="K99" s="281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1">
        <v>4487</v>
      </c>
      <c r="K100" s="281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1">
        <v>4265</v>
      </c>
      <c r="K101" s="281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1">
        <v>4133</v>
      </c>
      <c r="K102" s="281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1">
        <v>3945</v>
      </c>
      <c r="K103" s="281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1">
        <v>3743</v>
      </c>
      <c r="K104" s="281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1">
        <v>3792</v>
      </c>
      <c r="K105" s="281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1">
        <v>3462</v>
      </c>
      <c r="K106" s="281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1">
        <v>3441</v>
      </c>
      <c r="K107" s="281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1">
        <v>3531</v>
      </c>
      <c r="K108" s="281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1">
        <v>3546</v>
      </c>
      <c r="K109" s="281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1">
        <v>3405</v>
      </c>
      <c r="K110" s="281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1">
        <v>3341</v>
      </c>
      <c r="K111" s="281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1">
        <v>3357</v>
      </c>
      <c r="K112" s="281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1">
        <v>3346</v>
      </c>
      <c r="K113" s="281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1">
        <v>3341</v>
      </c>
      <c r="K114" s="281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1">
        <v>3291</v>
      </c>
      <c r="K115" s="281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1">
        <v>3103</v>
      </c>
      <c r="K116" s="281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1">
        <v>3002</v>
      </c>
      <c r="K117" s="281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1">
        <v>2920</v>
      </c>
      <c r="K118" s="281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1">
        <v>3023</v>
      </c>
      <c r="K119" s="281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1">
        <v>3080</v>
      </c>
      <c r="K120" s="281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1">
        <v>3168</v>
      </c>
      <c r="K121" s="281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1">
        <v>3369</v>
      </c>
      <c r="K122" s="281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1">
        <v>3462</v>
      </c>
      <c r="K123" s="281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1">
        <v>3406</v>
      </c>
      <c r="K124" s="281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1">
        <v>3500</v>
      </c>
      <c r="K125" s="281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1">
        <v>3472</v>
      </c>
      <c r="K126" s="281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1">
        <v>4015</v>
      </c>
      <c r="K127" s="281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1">
        <v>3622</v>
      </c>
      <c r="K128" s="281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1">
        <v>3604</v>
      </c>
      <c r="K129" s="281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1">
        <v>3645</v>
      </c>
      <c r="K130" s="281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1">
        <v>3604.5</v>
      </c>
      <c r="K131" s="281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1">
        <v>3630</v>
      </c>
      <c r="K132" s="281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1">
        <v>3661.0666666666666</v>
      </c>
      <c r="K133" s="281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1">
        <v>3662.032258064516</v>
      </c>
      <c r="K134" s="281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1">
        <v>3615.6451612903224</v>
      </c>
      <c r="K135" s="281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1">
        <v>3657.0333333333333</v>
      </c>
      <c r="K136" s="281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1">
        <v>3615.483870967742</v>
      </c>
      <c r="K137" s="281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1">
        <v>3553.5666666666666</v>
      </c>
      <c r="K138" s="281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1">
        <v>3515</v>
      </c>
      <c r="K139" s="281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1">
        <v>3414</v>
      </c>
      <c r="K140" s="281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1">
        <v>3357</v>
      </c>
      <c r="K141" s="281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1">
        <v>3434.3225806451615</v>
      </c>
      <c r="K142" s="281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1">
        <v>3363</v>
      </c>
      <c r="K143" s="281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1">
        <v>3416</v>
      </c>
      <c r="K144" s="281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1">
        <v>3386</v>
      </c>
      <c r="K145" s="281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1">
        <v>3353</v>
      </c>
      <c r="K146" s="281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1">
        <v>3355</v>
      </c>
      <c r="K147" s="281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1">
        <v>3402</v>
      </c>
      <c r="K148" s="281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1">
        <v>3320</v>
      </c>
      <c r="K149" s="281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1">
        <v>3087</v>
      </c>
      <c r="K150" s="285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1">
        <v>3053</v>
      </c>
      <c r="K151" s="285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1">
        <v>3163.19</v>
      </c>
      <c r="K152" s="281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5">
        <v>3199</v>
      </c>
      <c r="K153" s="285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5">
        <v>3167</v>
      </c>
      <c r="K154" s="285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5">
        <v>3182</v>
      </c>
      <c r="K155" s="285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1">
        <v>3146</v>
      </c>
      <c r="K156" s="281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1">
        <v>3103</v>
      </c>
      <c r="K157" s="281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1">
        <v>3059.6451612903224</v>
      </c>
      <c r="K158" s="281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4">
        <f>93766/31</f>
        <v>3024.7096774193546</v>
      </c>
      <c r="K159" s="284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5">
        <v>2984</v>
      </c>
      <c r="K160" s="285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1">
        <v>3008</v>
      </c>
      <c r="K161" s="281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5">
        <v>2909</v>
      </c>
      <c r="K162" s="285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1">
        <v>2685</v>
      </c>
      <c r="K163" s="281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5">
        <v>2853</v>
      </c>
      <c r="K164" s="285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1">
        <f>80304/28</f>
        <v>2868</v>
      </c>
      <c r="K165" s="281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1">
        <v>2812</v>
      </c>
      <c r="K166" s="281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4">
        <f>90267/30</f>
        <v>3008.9</v>
      </c>
      <c r="K167" s="284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4">
        <f>91935/31</f>
        <v>2965.6451612903224</v>
      </c>
      <c r="K168" s="284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4">
        <f>87309/30</f>
        <v>2910.3</v>
      </c>
      <c r="K169" s="284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4">
        <f>90019/31</f>
        <v>2903.8387096774195</v>
      </c>
      <c r="K170" s="284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4">
        <f>89184/31</f>
        <v>2876.9032258064517</v>
      </c>
      <c r="K171" s="284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4">
        <f>86428/30</f>
        <v>2880.9333333333334</v>
      </c>
      <c r="K172" s="284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4">
        <f>87919/31</f>
        <v>2836.0967741935483</v>
      </c>
      <c r="K173" s="284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4">
        <f>84130/30</f>
        <v>2804.3333333333335</v>
      </c>
      <c r="K174" s="284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4">
        <f>82208/31</f>
        <v>2651.8709677419356</v>
      </c>
      <c r="K175" s="284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4">
        <f>86419/31</f>
        <v>2787.7096774193546</v>
      </c>
      <c r="K176" s="284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4">
        <f>74593/29</f>
        <v>2572.1724137931033</v>
      </c>
      <c r="K177" s="284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1">
        <f>85577/31</f>
        <v>2760.548387096774</v>
      </c>
      <c r="K178" s="281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1">
        <f>82758/30</f>
        <v>2758.6</v>
      </c>
      <c r="K179" s="281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4">
        <f>85851/31</f>
        <v>2769.3870967741937</v>
      </c>
      <c r="K180" s="284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4">
        <f>87560/30</f>
        <v>2918.6666666666665</v>
      </c>
      <c r="K181" s="284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4">
        <f>88738/31</f>
        <v>2862.516129032258</v>
      </c>
      <c r="K182" s="284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1">
        <f>88926/31</f>
        <v>2868.5806451612902</v>
      </c>
      <c r="K183" s="281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1">
        <f>86401/30</f>
        <v>2880.0333333333333</v>
      </c>
      <c r="K184" s="281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1">
        <v>2812</v>
      </c>
      <c r="K185" s="281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1">
        <f>80326/30</f>
        <v>2677.5333333333333</v>
      </c>
      <c r="K186" s="281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1">
        <f>79547/31</f>
        <v>2566.032258064516</v>
      </c>
      <c r="K187" s="281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1">
        <f>84836/31</f>
        <v>2736.6451612903224</v>
      </c>
      <c r="K188" s="281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1">
        <f>77894/28</f>
        <v>2781.9285714285716</v>
      </c>
      <c r="K189" s="281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1">
        <f>85996/31</f>
        <v>2774.064516129032</v>
      </c>
      <c r="K190" s="281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1">
        <f>79835/30</f>
        <v>2661.1666666666665</v>
      </c>
      <c r="K191" s="281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1">
        <f>85955/31</f>
        <v>2772.7419354838707</v>
      </c>
      <c r="K192" s="281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1">
        <f>83911/30</f>
        <v>2797.0333333333333</v>
      </c>
      <c r="K193" s="281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1">
        <f>84624/31</f>
        <v>2729.8064516129034</v>
      </c>
      <c r="K194" s="281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1">
        <f>90419/31</f>
        <v>2916.7419354838707</v>
      </c>
      <c r="K195" s="281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1">
        <f>90750/30</f>
        <v>3025</v>
      </c>
      <c r="K196" s="281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1">
        <f>107300/31</f>
        <v>3461.2903225806454</v>
      </c>
      <c r="K197" s="281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1">
        <f>108534/30</f>
        <v>3617.8</v>
      </c>
      <c r="K198" s="281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1">
        <f>103950/31</f>
        <v>3353.2258064516127</v>
      </c>
      <c r="K199" s="281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1">
        <f>120268/31</f>
        <v>3879.6129032258063</v>
      </c>
      <c r="K200" s="281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1">
        <f>93325/28</f>
        <v>3333.035714285714</v>
      </c>
      <c r="K201" s="281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1">
        <f>109834/31</f>
        <v>3543.032258064516</v>
      </c>
      <c r="K202" s="281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1">
        <f>110030/30</f>
        <v>3667.6666666666665</v>
      </c>
      <c r="K203" s="281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1">
        <f>97085/31</f>
        <v>3131.7741935483873</v>
      </c>
      <c r="K204" s="281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1">
        <f>106530/30</f>
        <v>3551</v>
      </c>
      <c r="K205" s="281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1">
        <f>91473/31</f>
        <v>2950.7419354838707</v>
      </c>
      <c r="K206" s="281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1">
        <f>81817/31</f>
        <v>2639.2580645161293</v>
      </c>
      <c r="K207" s="281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1">
        <f>80223/30</f>
        <v>2674.1</v>
      </c>
      <c r="K208" s="281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1">
        <f>87966/31</f>
        <v>2837.6129032258063</v>
      </c>
      <c r="K209" s="281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1">
        <f>87026/30</f>
        <v>2900.866666666667</v>
      </c>
      <c r="K210" s="281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1">
        <v>2743</v>
      </c>
      <c r="K211" s="281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1">
        <f>84980/31</f>
        <v>2741.2903225806454</v>
      </c>
      <c r="K212" s="281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1">
        <f>81774/28</f>
        <v>2920.5</v>
      </c>
      <c r="K213" s="281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1">
        <f>87762/31</f>
        <v>2831.032258064516</v>
      </c>
      <c r="K214" s="281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1">
        <f>82573/30</f>
        <v>2752.4333333333334</v>
      </c>
      <c r="K215" s="281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1">
        <v>2798</v>
      </c>
      <c r="K216" s="281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1">
        <f>88734/30</f>
        <v>2957.8</v>
      </c>
      <c r="K217" s="281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1">
        <f>94911/31</f>
        <v>3061.6451612903224</v>
      </c>
      <c r="K218" s="281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1">
        <f>97382/31</f>
        <v>3141.3548387096776</v>
      </c>
      <c r="K219" s="281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1">
        <f>97457/30</f>
        <v>3248.5666666666666</v>
      </c>
      <c r="K220" s="281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1">
        <f>99680/31</f>
        <v>3215.483870967742</v>
      </c>
      <c r="K221" s="281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1">
        <f>104127/30</f>
        <v>3470.9</v>
      </c>
      <c r="K222" s="281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2">
        <v>3436</v>
      </c>
      <c r="K223" s="282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3">
        <v>3291.64516129032</v>
      </c>
      <c r="K224" s="28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1">
        <f>83102/29</f>
        <v>2865.5862068965516</v>
      </c>
      <c r="K225" s="281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1">
        <f>99764/31</f>
        <v>3218.1935483870966</v>
      </c>
      <c r="K226" s="281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1">
        <v>3018.4333333333334</v>
      </c>
      <c r="K227" s="281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1">
        <v>3254.41935483871</v>
      </c>
      <c r="K228" s="281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1">
        <v>3280.2</v>
      </c>
      <c r="K229" s="281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1">
        <v>3272.1612903225805</v>
      </c>
      <c r="K230" s="281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1">
        <v>3518.03225806452</v>
      </c>
      <c r="K231" s="281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1">
        <v>3496</v>
      </c>
      <c r="K232" s="281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1">
        <f>113288/31</f>
        <v>3654.451612903226</v>
      </c>
      <c r="K233" s="281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1">
        <v>3587</v>
      </c>
      <c r="K234" s="281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2">
        <v>3640.741935</v>
      </c>
      <c r="K235" s="282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2">
        <f>104345/31</f>
        <v>3365.967741935484</v>
      </c>
      <c r="K236" s="282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2">
        <f>98920/28</f>
        <v>3532.8571428571427</v>
      </c>
      <c r="K237" s="282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2">
        <f>93904/31</f>
        <v>3029.1612903225805</v>
      </c>
      <c r="K238" s="282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7">
        <f>95861/30</f>
        <v>3195.366666666667</v>
      </c>
      <c r="K239" s="278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7">
        <f>109894/31</f>
        <v>3544.967741935484</v>
      </c>
      <c r="K240" s="278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7">
        <f>92416/30</f>
        <v>3080.5333333333333</v>
      </c>
      <c r="K241" s="278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7">
        <f>112945/31</f>
        <v>3643.3870967741937</v>
      </c>
      <c r="K242" s="278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7">
        <f>115529/31</f>
        <v>3726.7419354838707</v>
      </c>
      <c r="K243" s="278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7">
        <f>111777/30</f>
        <v>3725.9</v>
      </c>
      <c r="K244" s="278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7">
        <f>110419/31</f>
        <v>3561.9032258064517</v>
      </c>
      <c r="K245" s="278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7">
        <f>105792/30</f>
        <v>3526.4</v>
      </c>
      <c r="K246" s="278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7">
        <f>110534/31</f>
        <v>3565.6129032258063</v>
      </c>
      <c r="K247" s="278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79">
        <f>110291/31</f>
        <v>3557.7741935483873</v>
      </c>
      <c r="K248" s="280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79">
        <f>101369/28</f>
        <v>3620.3214285714284</v>
      </c>
      <c r="K249" s="280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79">
        <f>112963/31</f>
        <v>3643.967741935484</v>
      </c>
      <c r="K250" s="280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79">
        <f>108338/30</f>
        <v>3611.266666666667</v>
      </c>
      <c r="K251" s="280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79">
        <f>109035/31</f>
        <v>3517.2580645161293</v>
      </c>
      <c r="K252" s="280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79">
        <v>3547</v>
      </c>
      <c r="K253" s="280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79">
        <v>3668.6129032258063</v>
      </c>
      <c r="K254" s="280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79">
        <v>3622.1612903225805</v>
      </c>
      <c r="K255" s="280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79">
        <v>3566</v>
      </c>
      <c r="K256" s="280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79">
        <v>3564</v>
      </c>
      <c r="K257" s="280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79">
        <v>3483.9666666666667</v>
      </c>
      <c r="K258" s="280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9">
        <v>3553.451612903226</v>
      </c>
      <c r="K259" s="290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7">
        <v>3458.1612903225805</v>
      </c>
      <c r="K260" s="288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7">
        <v>3550.9285714285716</v>
      </c>
      <c r="K261" s="288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7">
        <v>3401.6451612903224</v>
      </c>
      <c r="K262" s="288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7">
        <v>3415.6666666666665</v>
      </c>
      <c r="K263" s="288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7">
        <v>3440.967741935484</v>
      </c>
      <c r="K264" s="288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7">
        <v>3394.3</v>
      </c>
      <c r="K265" s="288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7">
        <v>3407.064516129032</v>
      </c>
      <c r="K266" s="288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7">
        <v>3457.12903225806</v>
      </c>
      <c r="K267" s="288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7">
        <v>3365.76666666667</v>
      </c>
      <c r="K268" s="288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7">
        <v>3472.967741935484</v>
      </c>
      <c r="K269" s="288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7">
        <v>3349.4</v>
      </c>
      <c r="K270" s="288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7">
        <v>3288.8709677419356</v>
      </c>
      <c r="K271" s="288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1">
        <v>3243.32258064516</v>
      </c>
      <c r="K272" s="292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1">
        <v>3242.896551724138</v>
      </c>
      <c r="K273" s="292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1">
        <v>2940.90322580645</v>
      </c>
      <c r="K274" s="292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1">
        <v>3179.33333333333</v>
      </c>
      <c r="K275" s="292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1">
        <v>3165.16129032258</v>
      </c>
      <c r="K276" s="292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1">
        <v>3254.866666666667</v>
      </c>
      <c r="K277" s="292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1">
        <v>3235.8387096774195</v>
      </c>
      <c r="K278" s="292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137830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137830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137830</v>
      </c>
      <c r="AK310" s="272">
        <f aca="true" t="shared" si="47" ref="AK310:AK316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137830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137830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137830</v>
      </c>
      <c r="AK313" s="272">
        <f t="shared" si="47"/>
        <v>764</v>
      </c>
    </row>
    <row r="314" spans="3:37" ht="12.75">
      <c r="C314" s="267">
        <f>+C313+0.0833333</f>
        <v>2019.5833231000151</v>
      </c>
      <c r="D314" s="268">
        <v>43647</v>
      </c>
      <c r="AI314" s="270">
        <v>132067</v>
      </c>
      <c r="AJ314" s="271">
        <v>137830</v>
      </c>
      <c r="AK314" s="272">
        <f t="shared" si="47"/>
        <v>-4905</v>
      </c>
    </row>
    <row r="315" spans="3:37" ht="12.75">
      <c r="C315" s="267">
        <f>+C314+0.0833333</f>
        <v>2019.6666564000152</v>
      </c>
      <c r="D315" s="268">
        <v>43678</v>
      </c>
      <c r="AI315" s="270">
        <v>142623</v>
      </c>
      <c r="AJ315" s="271">
        <v>137830</v>
      </c>
      <c r="AK315" s="272">
        <f t="shared" si="47"/>
        <v>10556</v>
      </c>
    </row>
    <row r="316" spans="3:37" ht="12.75">
      <c r="C316" s="267">
        <f>+C315+0.0833333</f>
        <v>2019.7499897000152</v>
      </c>
      <c r="D316" s="268">
        <v>43709</v>
      </c>
      <c r="AI316" s="270">
        <v>149391</v>
      </c>
      <c r="AJ316" s="271">
        <v>137830</v>
      </c>
      <c r="AK316" s="272">
        <f>+AI316-AI315</f>
        <v>6768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M29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34" sqref="O334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3" t="s">
        <v>31</v>
      </c>
      <c r="AG11" s="293"/>
      <c r="AH11" s="293"/>
      <c r="AI11" s="293"/>
      <c r="AJ11" s="293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3" t="s">
        <v>32</v>
      </c>
      <c r="AG12" s="293"/>
      <c r="AH12" s="293"/>
      <c r="AI12" s="293"/>
      <c r="AJ12" s="293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3" t="s">
        <v>33</v>
      </c>
      <c r="AG13" s="293"/>
      <c r="AH13" s="293"/>
      <c r="AI13" s="293"/>
      <c r="AJ13" s="293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1278825.5404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1278825.5404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1278825.5404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1278825.5404</v>
      </c>
      <c r="P308" s="275">
        <f t="shared" si="27"/>
        <v>-75639.93779999996</v>
      </c>
    </row>
    <row r="309" spans="2:16" ht="12.75">
      <c r="B309" s="273">
        <f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1278825.5404</v>
      </c>
      <c r="P309" s="275">
        <f t="shared" si="27"/>
        <v>-33314.66379999998</v>
      </c>
    </row>
    <row r="310" spans="2:16" ht="12.75">
      <c r="B310" s="273">
        <f>+B309+0.0833333</f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1278825.5404</v>
      </c>
      <c r="P310" s="275">
        <f t="shared" si="27"/>
        <v>35570.07819999987</v>
      </c>
    </row>
    <row r="311" spans="2:16" ht="12.75">
      <c r="B311" s="273">
        <f>+B310+0.0833333</f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1278825.5404</v>
      </c>
      <c r="P311" s="275">
        <f t="shared" si="27"/>
        <v>219242.0492</v>
      </c>
    </row>
    <row r="312" spans="2:16" ht="12.75">
      <c r="B312" s="273">
        <f>+B311+0.0833333</f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1278825.5404</v>
      </c>
      <c r="P312" s="275">
        <f>N312-N311</f>
        <v>168560.58389999997</v>
      </c>
    </row>
    <row r="313" spans="2:16" ht="12.75">
      <c r="B313" s="273">
        <f>+B312+0.0833333</f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1278825.5404</v>
      </c>
      <c r="P313" s="275">
        <f>N313-N312</f>
        <v>46816.437200000044</v>
      </c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1">
      <selection activeCell="O69" sqref="O69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7" t="s">
        <v>67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31"/>
    </row>
    <row r="3" spans="1:13" ht="15.75" customHeight="1">
      <c r="A3" s="232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299" t="s">
        <v>68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8" t="s">
        <v>69</v>
      </c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ht="9" customHeight="1"/>
    <row r="81" spans="13:15" ht="44.25" customHeight="1">
      <c r="M81" s="239"/>
      <c r="O81" s="240"/>
    </row>
    <row r="82" spans="2:15" ht="46.5" customHeight="1">
      <c r="B82" s="295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39"/>
      <c r="O82" s="240"/>
    </row>
    <row r="83" spans="1:13" ht="4.5" customHeight="1">
      <c r="A83" s="235"/>
      <c r="B83" s="294" t="s">
        <v>57</v>
      </c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2019-09-23T15:15:43Z</cp:lastPrinted>
  <dcterms:created xsi:type="dcterms:W3CDTF">1997-07-01T22:48:52Z</dcterms:created>
  <dcterms:modified xsi:type="dcterms:W3CDTF">2019-10-15T15:20:20Z</dcterms:modified>
  <cp:category/>
  <cp:version/>
  <cp:contentType/>
  <cp:contentStatus/>
</cp:coreProperties>
</file>